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5895" windowWidth="19320" windowHeight="8775" activeTab="0"/>
  </bookViews>
  <sheets>
    <sheet name="レース時間差表" sheetId="1" r:id="rId1"/>
    <sheet name="63oshima_ORC_Result" sheetId="2" r:id="rId2"/>
  </sheets>
  <definedNames>
    <definedName name="_xlnm.Print_Area" localSheetId="1">'63oshima_ORC_Result'!$C$1:$P$23</definedName>
    <definedName name="Start_Day">'63oshima_ORC_Result'!$N$7</definedName>
  </definedNames>
  <calcPr fullCalcOnLoad="1"/>
</workbook>
</file>

<file path=xl/comments1.xml><?xml version="1.0" encoding="utf-8"?>
<comments xmlns="http://schemas.openxmlformats.org/spreadsheetml/2006/main">
  <authors>
    <author>iizawa</author>
  </authors>
  <commentList>
    <comment ref="B6" authorId="0">
      <text>
        <r>
          <rPr>
            <b/>
            <sz val="9"/>
            <rFont val="ＭＳ Ｐゴシック"/>
            <family val="3"/>
          </rPr>
          <t>iizawa:</t>
        </r>
        <r>
          <rPr>
            <sz val="9"/>
            <rFont val="ＭＳ Ｐゴシック"/>
            <family val="3"/>
          </rPr>
          <t xml:space="preserve">
この下のブルーのセルでプルダウンメニューから対象の艇を選択</t>
        </r>
      </text>
    </comment>
  </commentList>
</comments>
</file>

<file path=xl/comments2.xml><?xml version="1.0" encoding="utf-8"?>
<comments xmlns="http://schemas.openxmlformats.org/spreadsheetml/2006/main">
  <authors>
    <author>iizawa</author>
  </authors>
  <commentList>
    <comment ref="J10" authorId="0">
      <text>
        <r>
          <rPr>
            <b/>
            <sz val="9"/>
            <rFont val="ＭＳ Ｐゴシック"/>
            <family val="3"/>
          </rPr>
          <t>iizawa:</t>
        </r>
        <r>
          <rPr>
            <sz val="9"/>
            <rFont val="ＭＳ Ｐゴシック"/>
            <family val="3"/>
          </rPr>
          <t xml:space="preserve">
Finsh時刻は時分秒を連続した6桁の半角数字で入力。セミコロン（：）は不要</t>
        </r>
      </text>
    </comment>
    <comment ref="I10" authorId="0">
      <text>
        <r>
          <rPr>
            <b/>
            <sz val="9"/>
            <rFont val="ＭＳ Ｐゴシック"/>
            <family val="3"/>
          </rPr>
          <t>iizawa:</t>
        </r>
        <r>
          <rPr>
            <sz val="9"/>
            <rFont val="ＭＳ Ｐゴシック"/>
            <family val="3"/>
          </rPr>
          <t xml:space="preserve">
日付は二桁の半角数字で入力</t>
        </r>
      </text>
    </comment>
  </commentList>
</comments>
</file>

<file path=xl/sharedStrings.xml><?xml version="1.0" encoding="utf-8"?>
<sst xmlns="http://schemas.openxmlformats.org/spreadsheetml/2006/main" count="92" uniqueCount="77">
  <si>
    <t>PLT</t>
  </si>
  <si>
    <t>PLD</t>
  </si>
  <si>
    <t>ORCclub</t>
  </si>
  <si>
    <t>Mile</t>
  </si>
  <si>
    <t>ScratchBoat</t>
  </si>
  <si>
    <t>RACE：</t>
  </si>
  <si>
    <t>フィニッシュ時間差表（分）</t>
  </si>
  <si>
    <t>初島回航時間差表（分）</t>
  </si>
  <si>
    <t>ScratchBoat所要時間</t>
  </si>
  <si>
    <t>Performance Line Offshore</t>
  </si>
  <si>
    <t>スクラッチボートと各艇の時間差（分）を表示している。スクラッチボートを入れ替えることで自艇基準のスクラッチシートを作成できます。</t>
  </si>
  <si>
    <t>着順</t>
  </si>
  <si>
    <t>----</t>
  </si>
  <si>
    <t>EVERYTHING EVERYTHING</t>
  </si>
  <si>
    <t xml:space="preserve">Race Name   </t>
  </si>
  <si>
    <t>Class</t>
  </si>
  <si>
    <t>ORC Class</t>
  </si>
  <si>
    <t>Start Time</t>
  </si>
  <si>
    <t>Course Type</t>
  </si>
  <si>
    <t>Race Condition</t>
  </si>
  <si>
    <t>Sea flat and/or  Ripple, Wind 10 - 14kt</t>
  </si>
  <si>
    <t>PLT</t>
  </si>
  <si>
    <t>PLD</t>
  </si>
  <si>
    <t>Day</t>
  </si>
  <si>
    <t>Finish</t>
  </si>
  <si>
    <r>
      <t>所要時間</t>
    </r>
    <r>
      <rPr>
        <sz val="9"/>
        <color indexed="8"/>
        <rFont val="Arial"/>
        <family val="2"/>
      </rPr>
      <t>(</t>
    </r>
    <r>
      <rPr>
        <sz val="9"/>
        <color indexed="8"/>
        <rFont val="ＭＳ Ｐゴシック"/>
        <family val="3"/>
      </rPr>
      <t>秒）</t>
    </r>
  </si>
  <si>
    <r>
      <t>(</t>
    </r>
    <r>
      <rPr>
        <sz val="9"/>
        <color indexed="8"/>
        <rFont val="ＭＳ Ｐゴシック"/>
        <family val="3"/>
      </rPr>
      <t>秒）</t>
    </r>
  </si>
  <si>
    <t>ペナルティ</t>
  </si>
  <si>
    <t>Posi</t>
  </si>
  <si>
    <t>start sec.</t>
  </si>
  <si>
    <t>h</t>
  </si>
  <si>
    <t>m</t>
  </si>
  <si>
    <t>s</t>
  </si>
  <si>
    <t>Total
sec.</t>
  </si>
  <si>
    <t>S.Totaｌ secl</t>
  </si>
  <si>
    <t>当日F</t>
  </si>
  <si>
    <t>翌日F</t>
  </si>
  <si>
    <t xml:space="preserve">PLS  OFFSHRE </t>
  </si>
  <si>
    <r>
      <t>所要時間</t>
    </r>
  </si>
  <si>
    <t>h</t>
  </si>
  <si>
    <t>m</t>
  </si>
  <si>
    <t>s</t>
  </si>
  <si>
    <t xml:space="preserve">Shona Ocean Racing Club </t>
  </si>
  <si>
    <t>ORCC</t>
  </si>
  <si>
    <t>修正秒</t>
  </si>
  <si>
    <t xml:space="preserve"> </t>
  </si>
  <si>
    <t>Y.Enomoto</t>
  </si>
  <si>
    <t>修正秒=PLT×所要秒-PLD×距離</t>
  </si>
  <si>
    <t>O&amp;S</t>
  </si>
  <si>
    <t>HOBBY HAWK</t>
  </si>
  <si>
    <t>YAMAHA 33S MOD</t>
  </si>
  <si>
    <t>LUCKY LADY VIII</t>
  </si>
  <si>
    <t xml:space="preserve">FARR 30 </t>
  </si>
  <si>
    <t>GEFION</t>
  </si>
  <si>
    <t>BALTIC 35</t>
  </si>
  <si>
    <t>VITE 31BK</t>
  </si>
  <si>
    <t>YAMAHA33S</t>
  </si>
  <si>
    <t>NAPOLI</t>
  </si>
  <si>
    <t>CRESCENT II</t>
  </si>
  <si>
    <t>SEAM33</t>
  </si>
  <si>
    <t xml:space="preserve">   63rd Oshima Race</t>
  </si>
  <si>
    <t>第６３回大島レース</t>
  </si>
  <si>
    <t>2013 63rd Oshima Race PRO</t>
  </si>
  <si>
    <t>O&amp;S</t>
  </si>
  <si>
    <t>GPH</t>
  </si>
  <si>
    <t>GEFION</t>
  </si>
  <si>
    <t>HOBBY HAWK</t>
  </si>
  <si>
    <t>NAPOLI</t>
  </si>
  <si>
    <t>CRESCENT II</t>
  </si>
  <si>
    <t>LUCKY LADY VIII</t>
  </si>
  <si>
    <t>BALTIC 35</t>
  </si>
  <si>
    <t>YAMAHA 33S MOD</t>
  </si>
  <si>
    <t>VITE 31BK</t>
  </si>
  <si>
    <t>SEAM33</t>
  </si>
  <si>
    <t>YAMAHA33S</t>
  </si>
  <si>
    <t xml:space="preserve">FARR 30 </t>
  </si>
  <si>
    <r>
      <t>この表のデータはオフショア（COASTAL / LONG DISTANCE) のコースの設定がされた場合の</t>
    </r>
    <r>
      <rPr>
        <b/>
        <u val="single"/>
        <sz val="11"/>
        <color indexed="10"/>
        <rFont val="ＭＳ Ｐゴシック"/>
        <family val="3"/>
      </rPr>
      <t>参考データ</t>
    </r>
    <r>
      <rPr>
        <sz val="11"/>
        <color indexed="56"/>
        <rFont val="ＭＳ Ｐゴシック"/>
        <family val="3"/>
      </rPr>
      <t>です。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</si>
</sst>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  <numFmt numFmtId="178" formatCode="0.0000_ "/>
    <numFmt numFmtId="179" formatCode="0.00_ "/>
    <numFmt numFmtId="180" formatCode="0.0"/>
    <numFmt numFmtId="181" formatCode="0.000"/>
    <numFmt numFmtId="182" formatCode="0.0000"/>
    <numFmt numFmtId="183" formatCode="h:mm:ss;@"/>
    <numFmt numFmtId="184" formatCode="0.0000000_ "/>
    <numFmt numFmtId="185" formatCode="0.000000_ "/>
    <numFmt numFmtId="186" formatCode="0.00000_ "/>
    <numFmt numFmtId="187" formatCode="0_ "/>
    <numFmt numFmtId="188" formatCode="[$-F400]h:mm:ss\ AM/PM"/>
    <numFmt numFmtId="189" formatCode="h:mm;@"/>
    <numFmt numFmtId="190" formatCode="0.00000"/>
    <numFmt numFmtId="191" formatCode="0_);[Red]\(0\)"/>
    <numFmt numFmtId="192" formatCode="0.00_ ;[Red]\-0.00\ "/>
    <numFmt numFmtId="193" formatCode="#,##0_);[Red]\(#,##0\)"/>
    <numFmt numFmtId="194" formatCode="00&quot;：&quot;00&quot;：&quot;00"/>
    <numFmt numFmtId="195" formatCode="&quot;(&quot;General&quot; Nm)&quot;"/>
    <numFmt numFmtId="196" formatCode="00"/>
  </numFmts>
  <fonts count="51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12"/>
      <name val="ＭＳ Ｐゴシック"/>
      <family val="3"/>
    </font>
    <font>
      <b/>
      <u val="single"/>
      <sz val="11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18"/>
      <name val="ＭＳ Ｐゴシック"/>
      <family val="3"/>
    </font>
    <font>
      <sz val="11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Arial"/>
      <family val="2"/>
    </font>
    <font>
      <sz val="11"/>
      <color indexed="56"/>
      <name val="Arial"/>
      <family val="2"/>
    </font>
    <font>
      <sz val="11"/>
      <color indexed="1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Arial"/>
      <family val="2"/>
    </font>
    <font>
      <i/>
      <sz val="11"/>
      <color indexed="56"/>
      <name val="Arial"/>
      <family val="2"/>
    </font>
    <font>
      <b/>
      <i/>
      <sz val="11"/>
      <name val="Arial"/>
      <family val="2"/>
    </font>
    <font>
      <b/>
      <i/>
      <sz val="11"/>
      <color indexed="56"/>
      <name val="Arial"/>
      <family val="2"/>
    </font>
    <font>
      <sz val="11"/>
      <color indexed="8"/>
      <name val="Arial Black"/>
      <family val="2"/>
    </font>
    <font>
      <b/>
      <sz val="11"/>
      <color indexed="9"/>
      <name val="Arial Black"/>
      <family val="2"/>
    </font>
    <font>
      <sz val="11"/>
      <color indexed="9"/>
      <name val="Arial Black"/>
      <family val="2"/>
    </font>
    <font>
      <b/>
      <sz val="14"/>
      <color indexed="9"/>
      <name val="Arial Black"/>
      <family val="2"/>
    </font>
    <font>
      <b/>
      <sz val="11"/>
      <color indexed="8"/>
      <name val="Arial"/>
      <family val="2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1"/>
      <color indexed="9"/>
      <name val="HG丸ｺﾞｼｯｸM-PRO"/>
      <family val="3"/>
    </font>
    <font>
      <sz val="10"/>
      <color indexed="56"/>
      <name val="Arial"/>
      <family val="2"/>
    </font>
    <font>
      <sz val="10"/>
      <color indexed="22"/>
      <name val="ＭＳ Ｐゴシック"/>
      <family val="3"/>
    </font>
    <font>
      <b/>
      <u val="single"/>
      <sz val="11"/>
      <color indexed="10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0" fillId="0" borderId="0">
      <alignment vertical="center"/>
      <protection/>
    </xf>
    <xf numFmtId="0" fontId="44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76" fontId="8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177" fontId="8" fillId="0" borderId="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21" fontId="0" fillId="0" borderId="11" xfId="0" applyNumberForma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91" fontId="0" fillId="0" borderId="0" xfId="0" applyNumberFormat="1" applyAlignment="1">
      <alignment vertical="center"/>
    </xf>
    <xf numFmtId="21" fontId="0" fillId="0" borderId="12" xfId="0" applyNumberFormat="1" applyBorder="1" applyAlignment="1">
      <alignment horizontal="center" vertical="center"/>
    </xf>
    <xf numFmtId="21" fontId="0" fillId="0" borderId="13" xfId="0" applyNumberFormat="1" applyBorder="1" applyAlignment="1">
      <alignment horizontal="center" vertical="center"/>
    </xf>
    <xf numFmtId="21" fontId="0" fillId="0" borderId="14" xfId="0" applyNumberFormat="1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0" fillId="0" borderId="13" xfId="0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3" fillId="0" borderId="17" xfId="0" applyFont="1" applyBorder="1" applyAlignment="1">
      <alignment/>
    </xf>
    <xf numFmtId="176" fontId="13" fillId="0" borderId="18" xfId="0" applyNumberFormat="1" applyFont="1" applyBorder="1" applyAlignment="1">
      <alignment vertical="center"/>
    </xf>
    <xf numFmtId="177" fontId="13" fillId="0" borderId="19" xfId="0" applyNumberFormat="1" applyFont="1" applyBorder="1" applyAlignment="1">
      <alignment vertical="center"/>
    </xf>
    <xf numFmtId="177" fontId="14" fillId="0" borderId="20" xfId="0" applyNumberFormat="1" applyFont="1" applyBorder="1" applyAlignment="1">
      <alignment vertical="center"/>
    </xf>
    <xf numFmtId="0" fontId="13" fillId="0" borderId="21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2" fillId="24" borderId="22" xfId="0" applyFont="1" applyFill="1" applyBorder="1" applyAlignment="1">
      <alignment/>
    </xf>
    <xf numFmtId="0" fontId="12" fillId="24" borderId="23" xfId="0" applyFont="1" applyFill="1" applyBorder="1" applyAlignment="1">
      <alignment/>
    </xf>
    <xf numFmtId="176" fontId="12" fillId="24" borderId="24" xfId="0" applyNumberFormat="1" applyFont="1" applyFill="1" applyBorder="1" applyAlignment="1">
      <alignment/>
    </xf>
    <xf numFmtId="177" fontId="12" fillId="24" borderId="23" xfId="0" applyNumberFormat="1" applyFont="1" applyFill="1" applyBorder="1" applyAlignment="1">
      <alignment/>
    </xf>
    <xf numFmtId="177" fontId="12" fillId="24" borderId="25" xfId="0" applyNumberFormat="1" applyFont="1" applyFill="1" applyBorder="1" applyAlignment="1">
      <alignment/>
    </xf>
    <xf numFmtId="46" fontId="12" fillId="24" borderId="25" xfId="0" applyNumberFormat="1" applyFont="1" applyFill="1" applyBorder="1" applyAlignment="1">
      <alignment horizontal="center" vertical="center"/>
    </xf>
    <xf numFmtId="46" fontId="12" fillId="24" borderId="2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27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6" fontId="12" fillId="0" borderId="28" xfId="0" applyNumberFormat="1" applyFont="1" applyFill="1" applyBorder="1" applyAlignment="1">
      <alignment/>
    </xf>
    <xf numFmtId="177" fontId="12" fillId="0" borderId="0" xfId="0" applyNumberFormat="1" applyFont="1" applyFill="1" applyBorder="1" applyAlignment="1">
      <alignment/>
    </xf>
    <xf numFmtId="177" fontId="12" fillId="0" borderId="29" xfId="0" applyNumberFormat="1" applyFont="1" applyFill="1" applyBorder="1" applyAlignment="1">
      <alignment/>
    </xf>
    <xf numFmtId="46" fontId="12" fillId="0" borderId="29" xfId="0" applyNumberFormat="1" applyFont="1" applyFill="1" applyBorder="1" applyAlignment="1">
      <alignment horizontal="center" vertical="center"/>
    </xf>
    <xf numFmtId="46" fontId="12" fillId="0" borderId="3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92" fontId="15" fillId="0" borderId="20" xfId="0" applyNumberFormat="1" applyFont="1" applyBorder="1" applyAlignment="1">
      <alignment/>
    </xf>
    <xf numFmtId="192" fontId="15" fillId="0" borderId="31" xfId="0" applyNumberFormat="1" applyFont="1" applyBorder="1" applyAlignment="1">
      <alignment/>
    </xf>
    <xf numFmtId="192" fontId="15" fillId="0" borderId="32" xfId="0" applyNumberFormat="1" applyFont="1" applyBorder="1" applyAlignment="1">
      <alignment/>
    </xf>
    <xf numFmtId="192" fontId="15" fillId="0" borderId="33" xfId="0" applyNumberFormat="1" applyFont="1" applyBorder="1" applyAlignment="1">
      <alignment/>
    </xf>
    <xf numFmtId="0" fontId="0" fillId="0" borderId="0" xfId="60">
      <alignment vertical="center"/>
      <protection/>
    </xf>
    <xf numFmtId="0" fontId="16" fillId="0" borderId="16" xfId="60" applyFont="1" applyBorder="1" applyAlignment="1">
      <alignment horizontal="center"/>
      <protection/>
    </xf>
    <xf numFmtId="0" fontId="17" fillId="0" borderId="16" xfId="60" applyFont="1" applyBorder="1" applyAlignment="1">
      <alignment horizontal="center" vertical="center"/>
      <protection/>
    </xf>
    <xf numFmtId="0" fontId="18" fillId="0" borderId="16" xfId="60" applyFont="1" applyBorder="1" applyAlignment="1">
      <alignment horizontal="center" vertical="center"/>
      <protection/>
    </xf>
    <xf numFmtId="176" fontId="14" fillId="25" borderId="16" xfId="60" applyNumberFormat="1" applyFont="1" applyFill="1" applyBorder="1" applyAlignment="1" applyProtection="1">
      <alignment horizontal="center" vertical="center"/>
      <protection hidden="1"/>
    </xf>
    <xf numFmtId="0" fontId="21" fillId="25" borderId="16" xfId="60" applyFont="1" applyFill="1" applyBorder="1" applyAlignment="1" applyProtection="1">
      <alignment horizontal="center" vertical="center"/>
      <protection hidden="1"/>
    </xf>
    <xf numFmtId="193" fontId="19" fillId="25" borderId="16" xfId="60" applyNumberFormat="1" applyFont="1" applyFill="1" applyBorder="1" applyAlignment="1" applyProtection="1">
      <alignment horizontal="center" vertical="center"/>
      <protection hidden="1"/>
    </xf>
    <xf numFmtId="38" fontId="19" fillId="25" borderId="16" xfId="48" applyFont="1" applyFill="1" applyBorder="1" applyAlignment="1" applyProtection="1">
      <alignment vertical="center"/>
      <protection hidden="1"/>
    </xf>
    <xf numFmtId="0" fontId="19" fillId="25" borderId="16" xfId="60" applyNumberFormat="1" applyFont="1" applyFill="1" applyBorder="1" applyAlignment="1" applyProtection="1">
      <alignment horizontal="center" vertical="center"/>
      <protection locked="0"/>
    </xf>
    <xf numFmtId="0" fontId="22" fillId="25" borderId="16" xfId="60" applyFont="1" applyFill="1" applyBorder="1" applyAlignment="1">
      <alignment horizontal="center" vertical="center"/>
      <protection/>
    </xf>
    <xf numFmtId="0" fontId="7" fillId="26" borderId="0" xfId="60" applyFont="1" applyFill="1">
      <alignment vertical="center"/>
      <protection/>
    </xf>
    <xf numFmtId="0" fontId="23" fillId="0" borderId="0" xfId="60" applyFont="1">
      <alignment vertical="center"/>
      <protection/>
    </xf>
    <xf numFmtId="0" fontId="24" fillId="26" borderId="0" xfId="60" applyFont="1" applyFill="1">
      <alignment vertical="center"/>
      <protection/>
    </xf>
    <xf numFmtId="0" fontId="25" fillId="26" borderId="0" xfId="60" applyFont="1" applyFill="1" applyAlignment="1">
      <alignment horizontal="right" vertical="center"/>
      <protection/>
    </xf>
    <xf numFmtId="0" fontId="26" fillId="26" borderId="0" xfId="60" applyFont="1" applyFill="1">
      <alignment vertical="center"/>
      <protection/>
    </xf>
    <xf numFmtId="0" fontId="25" fillId="26" borderId="0" xfId="60" applyFont="1" applyFill="1">
      <alignment vertical="center"/>
      <protection/>
    </xf>
    <xf numFmtId="0" fontId="15" fillId="0" borderId="0" xfId="60" applyFont="1">
      <alignment vertical="center"/>
      <protection/>
    </xf>
    <xf numFmtId="0" fontId="15" fillId="0" borderId="0" xfId="60" applyFont="1" applyAlignment="1">
      <alignment horizontal="right" vertical="center"/>
      <protection/>
    </xf>
    <xf numFmtId="0" fontId="27" fillId="0" borderId="0" xfId="60" applyFont="1">
      <alignment vertical="center"/>
      <protection/>
    </xf>
    <xf numFmtId="0" fontId="16" fillId="0" borderId="16" xfId="60" applyFont="1" applyBorder="1" applyAlignment="1">
      <alignment horizontal="center" vertical="center"/>
      <protection/>
    </xf>
    <xf numFmtId="0" fontId="27" fillId="0" borderId="16" xfId="60" applyFont="1" applyBorder="1" applyAlignment="1">
      <alignment horizontal="center" vertical="center"/>
      <protection/>
    </xf>
    <xf numFmtId="180" fontId="20" fillId="25" borderId="16" xfId="60" applyNumberFormat="1" applyFont="1" applyFill="1" applyBorder="1" applyAlignment="1" applyProtection="1">
      <alignment horizontal="center" vertical="center"/>
      <protection locked="0"/>
    </xf>
    <xf numFmtId="194" fontId="15" fillId="0" borderId="16" xfId="60" applyNumberFormat="1" applyFont="1" applyFill="1" applyBorder="1" applyAlignment="1" applyProtection="1">
      <alignment horizontal="center" vertical="center"/>
      <protection hidden="1" locked="0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38" fontId="0" fillId="0" borderId="16" xfId="48" applyFont="1" applyBorder="1" applyAlignment="1">
      <alignment horizontal="center" vertical="center"/>
    </xf>
    <xf numFmtId="38" fontId="0" fillId="0" borderId="16" xfId="48" applyFont="1" applyBorder="1" applyAlignment="1">
      <alignment vertical="center"/>
    </xf>
    <xf numFmtId="0" fontId="28" fillId="0" borderId="16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195" fontId="27" fillId="0" borderId="0" xfId="60" applyNumberFormat="1" applyFont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96" fontId="0" fillId="0" borderId="28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196" fontId="0" fillId="0" borderId="37" xfId="0" applyNumberFormat="1" applyBorder="1" applyAlignment="1">
      <alignment horizontal="center" vertical="center"/>
    </xf>
    <xf numFmtId="196" fontId="0" fillId="0" borderId="38" xfId="0" applyNumberFormat="1" applyBorder="1" applyAlignment="1">
      <alignment horizontal="center" vertical="center"/>
    </xf>
    <xf numFmtId="196" fontId="0" fillId="0" borderId="39" xfId="0" applyNumberFormat="1" applyBorder="1" applyAlignment="1">
      <alignment horizontal="center" vertical="center"/>
    </xf>
    <xf numFmtId="196" fontId="0" fillId="0" borderId="40" xfId="0" applyNumberForma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196" fontId="0" fillId="0" borderId="41" xfId="0" applyNumberFormat="1" applyBorder="1" applyAlignment="1">
      <alignment horizontal="center" vertical="center"/>
    </xf>
    <xf numFmtId="196" fontId="0" fillId="0" borderId="42" xfId="0" applyNumberFormat="1" applyBorder="1" applyAlignment="1">
      <alignment horizontal="center" vertical="center"/>
    </xf>
    <xf numFmtId="196" fontId="0" fillId="0" borderId="43" xfId="0" applyNumberFormat="1" applyBorder="1" applyAlignment="1">
      <alignment horizontal="center" vertical="center"/>
    </xf>
    <xf numFmtId="0" fontId="19" fillId="25" borderId="44" xfId="60" applyFont="1" applyFill="1" applyBorder="1" applyAlignment="1" applyProtection="1">
      <alignment horizontal="center" vertical="center"/>
      <protection hidden="1" locked="0"/>
    </xf>
    <xf numFmtId="0" fontId="19" fillId="25" borderId="45" xfId="60" applyFont="1" applyFill="1" applyBorder="1" applyAlignment="1" applyProtection="1">
      <alignment vertical="center"/>
      <protection hidden="1"/>
    </xf>
    <xf numFmtId="0" fontId="15" fillId="25" borderId="46" xfId="60" applyFont="1" applyFill="1" applyBorder="1" applyAlignment="1" applyProtection="1">
      <alignment horizontal="left" vertical="center"/>
      <protection hidden="1"/>
    </xf>
    <xf numFmtId="0" fontId="19" fillId="25" borderId="45" xfId="60" applyNumberFormat="1" applyFont="1" applyFill="1" applyBorder="1" applyAlignment="1" applyProtection="1">
      <alignment vertical="center"/>
      <protection hidden="1"/>
    </xf>
    <xf numFmtId="0" fontId="15" fillId="25" borderId="46" xfId="60" applyNumberFormat="1" applyFont="1" applyFill="1" applyBorder="1" applyAlignment="1" applyProtection="1">
      <alignment horizontal="left" vertical="center"/>
      <protection hidden="1"/>
    </xf>
    <xf numFmtId="0" fontId="0" fillId="0" borderId="42" xfId="60" applyBorder="1">
      <alignment vertical="center"/>
      <protection/>
    </xf>
    <xf numFmtId="0" fontId="0" fillId="0" borderId="0" xfId="60" applyBorder="1">
      <alignment vertical="center"/>
      <protection/>
    </xf>
    <xf numFmtId="0" fontId="0" fillId="0" borderId="0" xfId="60" applyFont="1" applyBorder="1">
      <alignment vertical="center"/>
      <protection/>
    </xf>
    <xf numFmtId="0" fontId="29" fillId="0" borderId="42" xfId="60" applyFont="1" applyBorder="1" applyAlignment="1">
      <alignment horizontal="right" vertical="center"/>
      <protection/>
    </xf>
    <xf numFmtId="0" fontId="29" fillId="0" borderId="0" xfId="60" applyFont="1" applyBorder="1" applyAlignment="1">
      <alignment horizontal="right" vertical="center"/>
      <protection/>
    </xf>
    <xf numFmtId="0" fontId="0" fillId="0" borderId="0" xfId="60" applyAlignment="1">
      <alignment horizontal="right" vertical="center"/>
      <protection/>
    </xf>
    <xf numFmtId="0" fontId="18" fillId="0" borderId="0" xfId="60" applyFont="1" applyAlignment="1">
      <alignment horizontal="center" vertical="center"/>
      <protection/>
    </xf>
    <xf numFmtId="176" fontId="13" fillId="0" borderId="47" xfId="0" applyNumberFormat="1" applyFont="1" applyBorder="1" applyAlignment="1">
      <alignment vertical="center"/>
    </xf>
    <xf numFmtId="176" fontId="13" fillId="0" borderId="18" xfId="0" applyNumberFormat="1" applyFont="1" applyBorder="1" applyAlignment="1">
      <alignment/>
    </xf>
    <xf numFmtId="177" fontId="13" fillId="0" borderId="48" xfId="0" applyNumberFormat="1" applyFont="1" applyBorder="1" applyAlignment="1">
      <alignment vertical="center"/>
    </xf>
    <xf numFmtId="177" fontId="13" fillId="0" borderId="19" xfId="0" applyNumberFormat="1" applyFont="1" applyBorder="1" applyAlignment="1">
      <alignment/>
    </xf>
    <xf numFmtId="0" fontId="13" fillId="0" borderId="19" xfId="0" applyFont="1" applyBorder="1" applyAlignment="1">
      <alignment horizontal="center"/>
    </xf>
    <xf numFmtId="0" fontId="13" fillId="0" borderId="48" xfId="0" applyFont="1" applyBorder="1" applyAlignment="1">
      <alignment horizontal="center"/>
    </xf>
    <xf numFmtId="14" fontId="15" fillId="0" borderId="49" xfId="60" applyNumberFormat="1" applyFont="1" applyBorder="1" applyAlignment="1">
      <alignment horizontal="center" vertical="center"/>
      <protection/>
    </xf>
    <xf numFmtId="0" fontId="15" fillId="0" borderId="16" xfId="60" applyFont="1" applyFill="1" applyBorder="1" applyAlignment="1" applyProtection="1">
      <alignment horizontal="center" vertical="center"/>
      <protection hidden="1" locked="0"/>
    </xf>
    <xf numFmtId="177" fontId="14" fillId="0" borderId="32" xfId="0" applyNumberFormat="1" applyFont="1" applyBorder="1" applyAlignment="1">
      <alignment vertical="center"/>
    </xf>
    <xf numFmtId="177" fontId="14" fillId="0" borderId="20" xfId="0" applyNumberFormat="1" applyFont="1" applyBorder="1" applyAlignment="1">
      <alignment/>
    </xf>
    <xf numFmtId="194" fontId="29" fillId="0" borderId="50" xfId="60" applyNumberFormat="1" applyFont="1" applyFill="1" applyBorder="1" applyAlignment="1" applyProtection="1">
      <alignment horizontal="center" vertical="center"/>
      <protection hidden="1" locked="0"/>
    </xf>
    <xf numFmtId="0" fontId="47" fillId="0" borderId="19" xfId="0" applyFont="1" applyBorder="1" applyAlignment="1">
      <alignment horizontal="center"/>
    </xf>
    <xf numFmtId="177" fontId="48" fillId="0" borderId="0" xfId="0" applyNumberFormat="1" applyFont="1" applyAlignment="1">
      <alignment horizontal="center" vertical="center"/>
    </xf>
    <xf numFmtId="177" fontId="48" fillId="0" borderId="0" xfId="0" applyNumberFormat="1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ORC_PLSスクラッチシート_大島レース6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1</xdr:row>
      <xdr:rowOff>0</xdr:rowOff>
    </xdr:from>
    <xdr:to>
      <xdr:col>9</xdr:col>
      <xdr:colOff>647700</xdr:colOff>
      <xdr:row>3</xdr:row>
      <xdr:rowOff>47625</xdr:rowOff>
    </xdr:to>
    <xdr:sp macro="[0]!着順">
      <xdr:nvSpPr>
        <xdr:cNvPr id="1" name="Text Box 1"/>
        <xdr:cNvSpPr txBox="1">
          <a:spLocks noChangeArrowheads="1"/>
        </xdr:cNvSpPr>
      </xdr:nvSpPr>
      <xdr:spPr>
        <a:xfrm>
          <a:off x="7115175" y="171450"/>
          <a:ext cx="647700" cy="390525"/>
        </a:xfrm>
        <a:prstGeom prst="rect">
          <a:avLst/>
        </a:prstGeom>
        <a:solidFill>
          <a:srgbClr val="00808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着　順
</a:t>
          </a:r>
          <a:r>
            <a:rPr lang="en-US" cap="none" sz="11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ソート</a:t>
          </a:r>
        </a:p>
      </xdr:txBody>
    </xdr:sp>
    <xdr:clientData fPrintsWithSheet="0"/>
  </xdr:twoCellAnchor>
  <xdr:twoCellAnchor>
    <xdr:from>
      <xdr:col>13</xdr:col>
      <xdr:colOff>342900</xdr:colOff>
      <xdr:row>1</xdr:row>
      <xdr:rowOff>0</xdr:rowOff>
    </xdr:from>
    <xdr:to>
      <xdr:col>14</xdr:col>
      <xdr:colOff>209550</xdr:colOff>
      <xdr:row>3</xdr:row>
      <xdr:rowOff>47625</xdr:rowOff>
    </xdr:to>
    <xdr:sp macro="[0]!順位">
      <xdr:nvSpPr>
        <xdr:cNvPr id="2" name="Text Box 2"/>
        <xdr:cNvSpPr txBox="1">
          <a:spLocks noChangeArrowheads="1"/>
        </xdr:cNvSpPr>
      </xdr:nvSpPr>
      <xdr:spPr>
        <a:xfrm>
          <a:off x="10086975" y="171450"/>
          <a:ext cx="762000" cy="390525"/>
        </a:xfrm>
        <a:prstGeom prst="rect">
          <a:avLst/>
        </a:prstGeom>
        <a:solidFill>
          <a:srgbClr val="008080"/>
        </a:solidFill>
        <a:ln w="9525" cmpd="sng">
          <a:solidFill>
            <a:srgbClr val="666699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順　位
</a:t>
          </a:r>
          <a:r>
            <a:rPr lang="en-US" cap="none" sz="11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ソート</a:t>
          </a:r>
        </a:p>
      </xdr:txBody>
    </xdr:sp>
    <xdr:clientData fPrintsWithSheet="0"/>
  </xdr:twoCellAnchor>
  <xdr:twoCellAnchor>
    <xdr:from>
      <xdr:col>2</xdr:col>
      <xdr:colOff>323850</xdr:colOff>
      <xdr:row>1</xdr:row>
      <xdr:rowOff>0</xdr:rowOff>
    </xdr:from>
    <xdr:to>
      <xdr:col>3</xdr:col>
      <xdr:colOff>419100</xdr:colOff>
      <xdr:row>3</xdr:row>
      <xdr:rowOff>47625</xdr:rowOff>
    </xdr:to>
    <xdr:sp macro="[0]!Sail">
      <xdr:nvSpPr>
        <xdr:cNvPr id="3" name="Text Box 3"/>
        <xdr:cNvSpPr txBox="1">
          <a:spLocks noChangeArrowheads="1"/>
        </xdr:cNvSpPr>
      </xdr:nvSpPr>
      <xdr:spPr>
        <a:xfrm>
          <a:off x="1695450" y="171450"/>
          <a:ext cx="600075" cy="390525"/>
        </a:xfrm>
        <a:prstGeom prst="rect">
          <a:avLst/>
        </a:prstGeom>
        <a:solidFill>
          <a:srgbClr val="00808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Sail #
</a:t>
          </a:r>
          <a:r>
            <a:rPr lang="en-US" cap="none" sz="1100" b="1" i="0" u="none" baseline="0">
              <a:solidFill>
                <a:srgbClr val="FFFFFF"/>
              </a:solidFill>
              <a:latin typeface="HG丸ｺﾞｼｯｸM-PRO"/>
              <a:ea typeface="HG丸ｺﾞｼｯｸM-PRO"/>
              <a:cs typeface="HG丸ｺﾞｼｯｸM-PRO"/>
            </a:rPr>
            <a:t>ソート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9"/>
  <sheetViews>
    <sheetView showGridLines="0" tabSelected="1" zoomScalePageLayoutView="0" workbookViewId="0" topLeftCell="A1">
      <selection activeCell="O24" sqref="O24"/>
    </sheetView>
  </sheetViews>
  <sheetFormatPr defaultColWidth="9.00390625" defaultRowHeight="13.5"/>
  <cols>
    <col min="1" max="1" width="5.875" style="0" customWidth="1"/>
    <col min="2" max="2" width="24.375" style="0" customWidth="1"/>
    <col min="3" max="3" width="15.75390625" style="0" customWidth="1"/>
    <col min="4" max="5" width="6.875" style="0" customWidth="1"/>
    <col min="6" max="6" width="0.37109375" style="0" customWidth="1"/>
    <col min="7" max="13" width="8.625" style="0" customWidth="1"/>
    <col min="14" max="14" width="0.2421875" style="0" customWidth="1"/>
    <col min="15" max="18" width="8.625" style="0" customWidth="1"/>
    <col min="19" max="19" width="0.74609375" style="0" customWidth="1"/>
  </cols>
  <sheetData>
    <row r="1" spans="1:6" ht="17.25">
      <c r="A1" s="2"/>
      <c r="B1" s="3" t="s">
        <v>2</v>
      </c>
      <c r="C1" s="4" t="s">
        <v>9</v>
      </c>
      <c r="D1" s="2"/>
      <c r="E1" s="2"/>
      <c r="F1" s="2"/>
    </row>
    <row r="2" spans="1:16" ht="13.5" customHeight="1">
      <c r="A2" s="2"/>
      <c r="B2" s="14" t="s">
        <v>5</v>
      </c>
      <c r="C2" s="4" t="s">
        <v>61</v>
      </c>
      <c r="D2" s="2"/>
      <c r="E2" s="2"/>
      <c r="F2" s="2"/>
      <c r="O2" s="13"/>
      <c r="P2" s="2"/>
    </row>
    <row r="3" spans="1:16" ht="13.5" customHeight="1">
      <c r="A3" s="2"/>
      <c r="B3" s="14"/>
      <c r="C3" s="4"/>
      <c r="D3" s="2"/>
      <c r="E3" s="2"/>
      <c r="F3" s="2"/>
      <c r="G3" t="s">
        <v>6</v>
      </c>
      <c r="O3" t="s">
        <v>7</v>
      </c>
      <c r="P3" s="2"/>
    </row>
    <row r="4" spans="1:17" ht="13.5" customHeight="1">
      <c r="A4" s="2"/>
      <c r="D4" s="2"/>
      <c r="E4" s="2"/>
      <c r="F4" s="2"/>
      <c r="G4" s="23">
        <v>85</v>
      </c>
      <c r="H4" s="2" t="s">
        <v>3</v>
      </c>
      <c r="I4" s="15"/>
      <c r="O4" s="23">
        <v>24</v>
      </c>
      <c r="P4" s="2" t="s">
        <v>3</v>
      </c>
      <c r="Q4" s="15"/>
    </row>
    <row r="5" spans="1:15" ht="4.5" customHeight="1" thickBot="1">
      <c r="A5" s="2"/>
      <c r="B5" s="3"/>
      <c r="C5" s="8"/>
      <c r="D5" s="2"/>
      <c r="E5" s="2"/>
      <c r="F5" s="2"/>
      <c r="G5" s="2"/>
      <c r="O5" s="2"/>
    </row>
    <row r="6" spans="1:18" ht="14.25">
      <c r="A6" s="2"/>
      <c r="B6" s="10" t="s">
        <v>4</v>
      </c>
      <c r="C6" s="11"/>
      <c r="D6" s="29" t="s">
        <v>0</v>
      </c>
      <c r="E6" s="30" t="s">
        <v>1</v>
      </c>
      <c r="F6" s="21"/>
      <c r="G6" s="18"/>
      <c r="H6" s="12"/>
      <c r="I6" s="20" t="s">
        <v>8</v>
      </c>
      <c r="J6" s="12"/>
      <c r="K6" s="12"/>
      <c r="L6" s="12"/>
      <c r="M6" s="19"/>
      <c r="N6" s="17"/>
      <c r="O6" s="18"/>
      <c r="P6" s="20" t="s">
        <v>8</v>
      </c>
      <c r="Q6" s="12"/>
      <c r="R6" s="16"/>
    </row>
    <row r="7" spans="1:18" ht="15" thickBot="1">
      <c r="A7" s="2"/>
      <c r="B7" s="31" t="s">
        <v>65</v>
      </c>
      <c r="C7" s="32" t="str">
        <f>VLOOKUP($B$7,$B$9:$E$15,2,0)</f>
        <v>BALTIC 35</v>
      </c>
      <c r="D7" s="33">
        <f>VLOOKUP($B$7,$B$9:$E$15,3,0)</f>
        <v>0.784</v>
      </c>
      <c r="E7" s="34">
        <f>VLOOKUP($B$7,$B$9:$E$15,4,0)</f>
        <v>103.8</v>
      </c>
      <c r="F7" s="35"/>
      <c r="G7" s="36">
        <v>0.7083333333333334</v>
      </c>
      <c r="H7" s="36">
        <v>0.75</v>
      </c>
      <c r="I7" s="36">
        <v>0.7916666666666666</v>
      </c>
      <c r="J7" s="36">
        <v>0.8333333333333334</v>
      </c>
      <c r="K7" s="36">
        <v>0.875</v>
      </c>
      <c r="L7" s="36">
        <v>0.9166666666666666</v>
      </c>
      <c r="M7" s="36">
        <v>0.9583333333333334</v>
      </c>
      <c r="N7" s="36"/>
      <c r="O7" s="36">
        <v>0.1388888888888889</v>
      </c>
      <c r="P7" s="36">
        <v>0.15277777777777776</v>
      </c>
      <c r="Q7" s="36">
        <v>0.16666666666666666</v>
      </c>
      <c r="R7" s="37">
        <v>0.18055555555555555</v>
      </c>
    </row>
    <row r="8" spans="1:18" s="46" customFormat="1" ht="8.25" customHeight="1">
      <c r="A8" s="38"/>
      <c r="B8" s="39"/>
      <c r="C8" s="40"/>
      <c r="D8" s="41"/>
      <c r="E8" s="42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5"/>
    </row>
    <row r="9" spans="1:19" ht="14.25">
      <c r="A9" s="2"/>
      <c r="B9" s="24" t="s">
        <v>69</v>
      </c>
      <c r="C9" s="110" t="s">
        <v>75</v>
      </c>
      <c r="D9" s="25">
        <f>IF(ISERROR(VLOOKUP(B9,'63oshima_ORC_Result'!$D$11:$G$17,3,0)),"",VLOOKUP(B9,'63oshima_ORC_Result'!$D$11:$G$17,3,0))</f>
        <v>0.916</v>
      </c>
      <c r="E9" s="26">
        <f>VLOOKUP(B9,'63oshima_ORC_Result'!$D$11:$G$17,4,0)</f>
        <v>110</v>
      </c>
      <c r="F9" s="27"/>
      <c r="G9" s="47">
        <f aca="true" t="shared" si="0" ref="G9:H15">(($D$7*G$7*86400-($E$7-$E9)*$G$4)/$D9-G$7*86400)/60</f>
        <v>-137.39810771470158</v>
      </c>
      <c r="H9" s="47">
        <f t="shared" si="0"/>
        <v>-146.0443959243085</v>
      </c>
      <c r="I9" s="47">
        <f>(($D$7*I$7*86400-($E$7-$E9)*$G$4)/$D9-I$7*86400)/60</f>
        <v>-154.69068413391554</v>
      </c>
      <c r="J9" s="47">
        <f>(($D$7*J$7*86400-($E$7-$E9)*$G$4)/$D9-J$7*86400)/60</f>
        <v>-163.33697234352246</v>
      </c>
      <c r="K9" s="47">
        <f>(($D$7*K$7*86400-($E$7-$E9)*$G$4)/$D9-K$7*86400)/60</f>
        <v>-171.9832605531296</v>
      </c>
      <c r="L9" s="47">
        <f>(($D$7*L$7*86400-($E$7-$E9)*$G$4)/$D9-L$7*86400)/60</f>
        <v>-180.62954876273653</v>
      </c>
      <c r="M9" s="47">
        <f>(($D$7*M$7*86400-($E$7-$E9)*$G$4)/$D9-M$7*86400)/60</f>
        <v>-189.27583697234343</v>
      </c>
      <c r="N9" s="47"/>
      <c r="O9" s="47">
        <f>(($D$7*O$7*86400-($E$7-$E9)*$O$4)/$D9-O$7*86400)/60</f>
        <v>-26.11353711790395</v>
      </c>
      <c r="P9" s="47">
        <f aca="true" t="shared" si="1" ref="P9:R15">(($D$7*P$7*86400-($E$7-$E9)*$O$4)/$D9-P$7*86400)/60</f>
        <v>-28.995633187772942</v>
      </c>
      <c r="Q9" s="47">
        <f t="shared" si="1"/>
        <v>-31.877729257641963</v>
      </c>
      <c r="R9" s="48">
        <f t="shared" si="1"/>
        <v>-34.75982532751095</v>
      </c>
      <c r="S9" s="1"/>
    </row>
    <row r="10" spans="1:19" ht="14.25">
      <c r="A10" s="2"/>
      <c r="B10" s="24" t="s">
        <v>63</v>
      </c>
      <c r="C10" s="110" t="s">
        <v>74</v>
      </c>
      <c r="D10" s="25">
        <f>IF(ISERROR(VLOOKUP(B10,'63oshima_ORC_Result'!$D$11:$G$17,3,0)),"",VLOOKUP(B10,'63oshima_ORC_Result'!$D$11:$G$17,3,0))</f>
        <v>0.911</v>
      </c>
      <c r="E10" s="26">
        <f>VLOOKUP(B10,'63oshima_ORC_Result'!$D$11:$G$17,4,0)</f>
        <v>121.6</v>
      </c>
      <c r="F10" s="115"/>
      <c r="G10" s="47">
        <f t="shared" si="0"/>
        <v>-114.5151847786315</v>
      </c>
      <c r="H10" s="47">
        <f t="shared" si="0"/>
        <v>-122.87961946578847</v>
      </c>
      <c r="I10" s="47">
        <f aca="true" t="shared" si="2" ref="I10:I15">(($D$7*I$7*86400-($E$7-$E10)*$G$4)/$D10-I$7*86400)/60</f>
        <v>-131.24405415294544</v>
      </c>
      <c r="J10" s="47">
        <f>(($D$7*J$7*86400-($E$7-$E10)*$G$4)/$D10-J$7*86400)/60</f>
        <v>-139.6084888401024</v>
      </c>
      <c r="K10" s="47">
        <f>(($D$7*K$7*86400-($E$7-$E10)*$G$4)/$D10-K$7*86400)/60</f>
        <v>-147.9729235272595</v>
      </c>
      <c r="L10" s="47">
        <f>(($D$7*L$7*86400-($E$7-$E10)*$G$4)/$D10-L$7*86400)/60</f>
        <v>-156.33735821441635</v>
      </c>
      <c r="M10" s="47">
        <f>(($D$7*M$7*86400-($E$7-$E10)*$G$4)/$D10-M$7*86400)/60</f>
        <v>-164.70179290157344</v>
      </c>
      <c r="N10" s="47"/>
      <c r="O10" s="47">
        <f aca="true" t="shared" si="3" ref="O10:O15">(($D$7*O$7*86400-($E$7-$E10)*$O$4)/$D10-O$7*86400)/60</f>
        <v>-20.06586169045004</v>
      </c>
      <c r="P10" s="47">
        <f t="shared" si="1"/>
        <v>-22.854006586169028</v>
      </c>
      <c r="Q10" s="47">
        <f t="shared" si="1"/>
        <v>-25.64215148188805</v>
      </c>
      <c r="R10" s="48">
        <f t="shared" si="1"/>
        <v>-28.43029637760704</v>
      </c>
      <c r="S10" s="1"/>
    </row>
    <row r="11" spans="1:19" ht="14.25">
      <c r="A11" s="2"/>
      <c r="B11" s="24" t="s">
        <v>13</v>
      </c>
      <c r="C11" s="110" t="s">
        <v>74</v>
      </c>
      <c r="D11" s="107">
        <f>IF(ISERROR(VLOOKUP(B11,'63oshima_ORC_Result'!$D$11:$G$17,3,0)),"",VLOOKUP(B11,'63oshima_ORC_Result'!$D$11:$G$17,3,0))</f>
        <v>0.909</v>
      </c>
      <c r="E11" s="109">
        <f>VLOOKUP(B11,'63oshima_ORC_Result'!$D$11:$G$17,4,0)</f>
        <v>120.1</v>
      </c>
      <c r="F11" s="27"/>
      <c r="G11" s="47">
        <f t="shared" si="0"/>
        <v>-114.86065273193987</v>
      </c>
      <c r="H11" s="47">
        <f t="shared" si="0"/>
        <v>-123.11147781444804</v>
      </c>
      <c r="I11" s="47">
        <f t="shared" si="2"/>
        <v>-131.36230289695632</v>
      </c>
      <c r="J11" s="47">
        <f>(($D$7*J$7*86400-($E$7-$E11)*$G$4)/$D11-J$7*86400)/60</f>
        <v>-139.61312797946448</v>
      </c>
      <c r="K11" s="47">
        <f>(($D$7*K$7*86400-($E$7-$E11)*$G$4)/$D11-K$7*86400)/60</f>
        <v>-147.86395306197275</v>
      </c>
      <c r="L11" s="47">
        <f>(($D$7*L$7*86400-($E$7-$E11)*$G$4)/$D11-L$7*86400)/60</f>
        <v>-156.11477814448105</v>
      </c>
      <c r="M11" s="47">
        <f>(($D$7*M$7*86400-($E$7-$E11)*$G$4)/$D11-M$7*86400)/60</f>
        <v>-164.36560322698958</v>
      </c>
      <c r="N11" s="47"/>
      <c r="O11" s="47">
        <f t="shared" si="3"/>
        <v>-20.33003300330032</v>
      </c>
      <c r="P11" s="47">
        <f t="shared" si="1"/>
        <v>-23.080308030803067</v>
      </c>
      <c r="Q11" s="47">
        <f t="shared" si="1"/>
        <v>-25.83058305830585</v>
      </c>
      <c r="R11" s="48">
        <f t="shared" si="1"/>
        <v>-28.580858085808572</v>
      </c>
      <c r="S11" s="1"/>
    </row>
    <row r="12" spans="1:19" ht="14.25">
      <c r="A12" s="2"/>
      <c r="B12" s="24" t="s">
        <v>68</v>
      </c>
      <c r="C12" s="117" t="s">
        <v>73</v>
      </c>
      <c r="D12" s="25">
        <f>IF(ISERROR(VLOOKUP(B12,'63oshima_ORC_Result'!$D$11:$G$17,3,0)),"",VLOOKUP(B12,'63oshima_ORC_Result'!$D$11:$G$17,3,0))</f>
        <v>0.918</v>
      </c>
      <c r="E12" s="26">
        <f>VLOOKUP(B12,'63oshima_ORC_Result'!$D$11:$G$17,4,0)</f>
        <v>131.5</v>
      </c>
      <c r="F12" s="27"/>
      <c r="G12" s="47">
        <f t="shared" si="0"/>
        <v>-106.14197530864197</v>
      </c>
      <c r="H12" s="47">
        <f t="shared" si="0"/>
        <v>-114.90014524328241</v>
      </c>
      <c r="I12" s="47">
        <f t="shared" si="2"/>
        <v>-123.65831517792297</v>
      </c>
      <c r="J12" s="47">
        <f aca="true" t="shared" si="4" ref="J12:M14">(($D$7*J$7*86400-($E$7-$E12)*$G$4)/$D12-J$7*86400)/60</f>
        <v>-132.4164851125634</v>
      </c>
      <c r="K12" s="47">
        <f t="shared" si="4"/>
        <v>-141.17465504720408</v>
      </c>
      <c r="L12" s="47">
        <f t="shared" si="4"/>
        <v>-149.93282498184465</v>
      </c>
      <c r="M12" s="47">
        <f t="shared" si="4"/>
        <v>-158.69099491648498</v>
      </c>
      <c r="N12" s="47"/>
      <c r="O12" s="47">
        <f t="shared" si="3"/>
        <v>-17.124183006535954</v>
      </c>
      <c r="P12" s="47">
        <f t="shared" si="1"/>
        <v>-20.043572984749456</v>
      </c>
      <c r="Q12" s="47">
        <f t="shared" si="1"/>
        <v>-22.962962962963015</v>
      </c>
      <c r="R12" s="48">
        <f t="shared" si="1"/>
        <v>-25.882352941176485</v>
      </c>
      <c r="S12" s="1"/>
    </row>
    <row r="13" spans="1:19" ht="14.25">
      <c r="A13" s="2"/>
      <c r="B13" s="24" t="s">
        <v>67</v>
      </c>
      <c r="C13" s="110" t="s">
        <v>72</v>
      </c>
      <c r="D13" s="25">
        <f>IF(ISERROR(VLOOKUP(B13,'63oshima_ORC_Result'!$D$11:$G$17,3,0)),"",VLOOKUP(B13,'63oshima_ORC_Result'!$D$11:$G$17,3,0))</f>
        <v>0.893</v>
      </c>
      <c r="E13" s="26">
        <f>VLOOKUP(B13,'63oshima_ORC_Result'!$D$11:$G$17,4,0)</f>
        <v>129.9</v>
      </c>
      <c r="F13" s="27"/>
      <c r="G13" s="47">
        <f t="shared" si="0"/>
        <v>-83.09630459126541</v>
      </c>
      <c r="H13" s="47">
        <f t="shared" si="0"/>
        <v>-90.41993281075023</v>
      </c>
      <c r="I13" s="47">
        <f t="shared" si="2"/>
        <v>-97.74356103023504</v>
      </c>
      <c r="J13" s="47">
        <f t="shared" si="4"/>
        <v>-105.06718924971986</v>
      </c>
      <c r="K13" s="47">
        <f t="shared" si="4"/>
        <v>-112.39081746920492</v>
      </c>
      <c r="L13" s="47">
        <f t="shared" si="4"/>
        <v>-119.71444568868974</v>
      </c>
      <c r="M13" s="47">
        <f t="shared" si="4"/>
        <v>-127.03807390817455</v>
      </c>
      <c r="N13" s="47"/>
      <c r="O13" s="47">
        <f t="shared" si="3"/>
        <v>-12.721164613661829</v>
      </c>
      <c r="P13" s="47">
        <f t="shared" si="1"/>
        <v>-15.162374020156767</v>
      </c>
      <c r="Q13" s="47">
        <f t="shared" si="1"/>
        <v>-17.603583426651767</v>
      </c>
      <c r="R13" s="48">
        <f t="shared" si="1"/>
        <v>-20.044792833146705</v>
      </c>
      <c r="S13" s="1"/>
    </row>
    <row r="14" spans="1:19" ht="14.25">
      <c r="A14" s="2"/>
      <c r="B14" s="24" t="s">
        <v>66</v>
      </c>
      <c r="C14" s="110" t="s">
        <v>71</v>
      </c>
      <c r="D14" s="25">
        <f>IF(ISERROR(VLOOKUP(B14,'63oshima_ORC_Result'!$D$11:$G$17,3,0)),"",VLOOKUP(B14,'63oshima_ORC_Result'!$D$11:$G$17,3,0))</f>
        <v>0.897</v>
      </c>
      <c r="E14" s="26">
        <f>VLOOKUP(B14,'63oshima_ORC_Result'!$D$11:$G$17,4,0)</f>
        <v>149.4</v>
      </c>
      <c r="F14" s="27"/>
      <c r="G14" s="47">
        <f t="shared" si="0"/>
        <v>-56.47714604236341</v>
      </c>
      <c r="H14" s="47">
        <f t="shared" si="0"/>
        <v>-64.03567447045704</v>
      </c>
      <c r="I14" s="47">
        <f t="shared" si="2"/>
        <v>-71.59420289855068</v>
      </c>
      <c r="J14" s="47">
        <f t="shared" si="4"/>
        <v>-79.15273132664419</v>
      </c>
      <c r="K14" s="47">
        <f t="shared" si="4"/>
        <v>-86.71125975473794</v>
      </c>
      <c r="L14" s="47">
        <f t="shared" si="4"/>
        <v>-94.26978818283169</v>
      </c>
      <c r="M14" s="47">
        <f t="shared" si="4"/>
        <v>-101.8283166109252</v>
      </c>
      <c r="N14" s="47"/>
      <c r="O14" s="47">
        <f t="shared" si="3"/>
        <v>-4.8606465997770405</v>
      </c>
      <c r="P14" s="47">
        <f t="shared" si="1"/>
        <v>-7.380156075808251</v>
      </c>
      <c r="Q14" s="47">
        <f>(($D$7*Q$7*86400-($E$7-$E14)*$O$4)/$D14-Q$7*86400)/60</f>
        <v>-9.899665551839492</v>
      </c>
      <c r="R14" s="48">
        <f t="shared" si="1"/>
        <v>-12.419175027870702</v>
      </c>
      <c r="S14" s="1"/>
    </row>
    <row r="15" spans="1:19" ht="15" thickBot="1">
      <c r="A15" s="2"/>
      <c r="B15" s="28" t="s">
        <v>65</v>
      </c>
      <c r="C15" s="111" t="s">
        <v>70</v>
      </c>
      <c r="D15" s="106">
        <f>IF(ISERROR(VLOOKUP(B15,'63oshima_ORC_Result'!$D$11:$G$17,3,0)),"",VLOOKUP(B15,'63oshima_ORC_Result'!$D$11:$G$17,3,0))</f>
        <v>0.784</v>
      </c>
      <c r="E15" s="108">
        <f>VLOOKUP(B15,'63oshima_ORC_Result'!$D$11:$G$17,4,0)</f>
        <v>103.8</v>
      </c>
      <c r="F15" s="114"/>
      <c r="G15" s="49">
        <f t="shared" si="0"/>
        <v>0</v>
      </c>
      <c r="H15" s="49">
        <f t="shared" si="0"/>
        <v>0</v>
      </c>
      <c r="I15" s="49">
        <f t="shared" si="2"/>
        <v>0</v>
      </c>
      <c r="J15" s="49">
        <f>(($D$7*J$7*86400-($E$7-$E15)*$G$4)/$D15-J$7*86400)/60</f>
        <v>0</v>
      </c>
      <c r="K15" s="49">
        <f>(($D$7*K$7*86400-($E$7-$E15)*$G$4)/$D15-K$7*86400)/60</f>
        <v>0</v>
      </c>
      <c r="L15" s="49">
        <f>(($D$7*L$7*86400-($E$7-$E15)*$G$4)/$D15-L$7*86400)/60</f>
        <v>0</v>
      </c>
      <c r="M15" s="49">
        <f>(($D$7*M$7*86400-($E$7-$E15)*$G$4)/$D15-M$7*86400)/60</f>
        <v>0</v>
      </c>
      <c r="N15" s="49"/>
      <c r="O15" s="49">
        <f t="shared" si="3"/>
        <v>0</v>
      </c>
      <c r="P15" s="49">
        <f t="shared" si="1"/>
        <v>0</v>
      </c>
      <c r="Q15" s="49">
        <f t="shared" si="1"/>
        <v>-3.031649005909761E-14</v>
      </c>
      <c r="R15" s="50">
        <f t="shared" si="1"/>
        <v>-3.031649005909761E-14</v>
      </c>
      <c r="S15" s="1"/>
    </row>
    <row r="16" spans="1:19" ht="13.5">
      <c r="A16" s="2"/>
      <c r="B16" s="5"/>
      <c r="C16" s="5"/>
      <c r="D16" s="7"/>
      <c r="E16" s="9"/>
      <c r="F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1"/>
    </row>
    <row r="18" ht="13.5">
      <c r="B18" s="22" t="s">
        <v>76</v>
      </c>
    </row>
    <row r="19" ht="13.5">
      <c r="B19" s="22" t="s">
        <v>10</v>
      </c>
    </row>
  </sheetData>
  <sheetProtection/>
  <dataValidations count="2">
    <dataValidation type="list" allowBlank="1" showInputMessage="1" showErrorMessage="1" sqref="B8">
      <formula1>$B$9:$B$16</formula1>
    </dataValidation>
    <dataValidation type="list" allowBlank="1" showInputMessage="1" showErrorMessage="1" sqref="B7">
      <formula1>$B$9:$B$15</formula1>
    </dataValidation>
  </dataValidations>
  <printOptions/>
  <pageMargins left="0.31496062992125984" right="0.11811023622047245" top="0.7480314960629921" bottom="0.7480314960629921" header="0.31496062992125984" footer="0.31496062992125984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C4:AI25"/>
  <sheetViews>
    <sheetView showGridLines="0" zoomScalePageLayoutView="0" workbookViewId="0" topLeftCell="A1">
      <selection activeCell="H22" sqref="H22"/>
    </sheetView>
  </sheetViews>
  <sheetFormatPr defaultColWidth="9.00390625" defaultRowHeight="13.5"/>
  <cols>
    <col min="3" max="3" width="6.625" style="51" customWidth="1"/>
    <col min="4" max="4" width="25.875" style="51" customWidth="1"/>
    <col min="5" max="5" width="16.50390625" style="51" customWidth="1"/>
    <col min="6" max="6" width="8.25390625" style="51" customWidth="1"/>
    <col min="7" max="7" width="7.50390625" style="51" customWidth="1"/>
    <col min="8" max="8" width="6.625" style="51" customWidth="1"/>
    <col min="9" max="9" width="4.00390625" style="51" customWidth="1"/>
    <col min="10" max="10" width="12.875" style="51" bestFit="1" customWidth="1"/>
    <col min="11" max="11" width="12.375" style="51" customWidth="1"/>
    <col min="12" max="12" width="9.25390625" style="51" customWidth="1"/>
    <col min="13" max="13" width="0" style="51" hidden="1" customWidth="1"/>
    <col min="14" max="14" width="11.75390625" style="51" customWidth="1"/>
    <col min="15" max="15" width="6.75390625" style="51" customWidth="1"/>
    <col min="16" max="16" width="6.25390625" style="51" customWidth="1"/>
    <col min="17" max="17" width="9.125" style="0" bestFit="1" customWidth="1"/>
    <col min="21" max="21" width="5.25390625" style="0" customWidth="1"/>
    <col min="22" max="22" width="5.375" style="0" customWidth="1"/>
    <col min="23" max="23" width="5.125" style="0" customWidth="1"/>
    <col min="24" max="24" width="9.125" style="0" bestFit="1" customWidth="1"/>
    <col min="25" max="25" width="10.375" style="0" customWidth="1"/>
    <col min="26" max="29" width="9.125" style="0" bestFit="1" customWidth="1"/>
    <col min="30" max="32" width="3.75390625" style="0" customWidth="1"/>
  </cols>
  <sheetData>
    <row r="1" ht="13.5"/>
    <row r="2" ht="13.5"/>
    <row r="3" ht="13.5"/>
    <row r="4" spans="3:7" ht="18.75">
      <c r="C4" s="62"/>
      <c r="D4" s="62"/>
      <c r="E4" s="62"/>
      <c r="F4" s="62"/>
      <c r="G4" s="62"/>
    </row>
    <row r="5" spans="3:28" ht="30" customHeight="1">
      <c r="C5" s="63" t="s">
        <v>43</v>
      </c>
      <c r="D5" s="64" t="s">
        <v>14</v>
      </c>
      <c r="E5" s="65" t="s">
        <v>60</v>
      </c>
      <c r="F5" s="66"/>
      <c r="G5" s="66"/>
      <c r="H5" s="61"/>
      <c r="I5" s="61"/>
      <c r="J5" s="61"/>
      <c r="K5" s="61"/>
      <c r="L5" s="61"/>
      <c r="M5" s="61"/>
      <c r="N5" s="61"/>
      <c r="O5" s="61"/>
      <c r="P5" s="64" t="s">
        <v>42</v>
      </c>
      <c r="U5" s="74" t="s">
        <v>30</v>
      </c>
      <c r="V5" s="74" t="s">
        <v>31</v>
      </c>
      <c r="W5" s="74" t="s">
        <v>32</v>
      </c>
      <c r="X5" s="75" t="s">
        <v>33</v>
      </c>
      <c r="Y5" s="79" t="str">
        <f>"翌日Finish
加算秒("&amp;DAY(Start_Day)+1&amp;"日)"</f>
        <v>翌日Finish
加算秒(26日)</v>
      </c>
      <c r="Z5" s="79" t="str">
        <f>DAY(Start_Day)+2&amp;"日F加算秒"</f>
        <v>27日F加算秒</v>
      </c>
      <c r="AA5" s="79" t="str">
        <f>DAY(Start_Day)+3&amp;"日F加算秒"</f>
        <v>28日F加算秒</v>
      </c>
      <c r="AB5" s="79" t="str">
        <f>DAY(Start_Day)+4&amp;"日F加算秒"</f>
        <v>29日F加算秒</v>
      </c>
    </row>
    <row r="6" spans="3:28" ht="18" customHeight="1">
      <c r="C6" s="67"/>
      <c r="D6" s="68" t="s">
        <v>15</v>
      </c>
      <c r="E6" s="69" t="s">
        <v>16</v>
      </c>
      <c r="F6" s="67"/>
      <c r="G6" s="67"/>
      <c r="H6" s="67"/>
      <c r="I6" s="67"/>
      <c r="J6" s="67"/>
      <c r="K6" s="67"/>
      <c r="O6" s="67"/>
      <c r="P6" s="67"/>
      <c r="T6" t="s">
        <v>29</v>
      </c>
      <c r="U6" s="76">
        <f>INT(N8/10000)</f>
        <v>11</v>
      </c>
      <c r="V6" s="76" t="str">
        <f>RIGHT(INT(N8/100),2)</f>
        <v>00</v>
      </c>
      <c r="W6" s="76" t="str">
        <f>RIGHT(N8,2)</f>
        <v>00</v>
      </c>
      <c r="X6" s="77">
        <f>U6*3600+V6*60+W6</f>
        <v>39600</v>
      </c>
      <c r="Y6" s="77">
        <f>24*3600-$X$6</f>
        <v>46800</v>
      </c>
      <c r="Z6" s="77">
        <f>24*3600+$Y$6</f>
        <v>133200</v>
      </c>
      <c r="AA6" s="77">
        <f>3*24*3600-$X$6</f>
        <v>219600</v>
      </c>
      <c r="AB6" s="77">
        <f>4*24*3600-$X$6</f>
        <v>306000</v>
      </c>
    </row>
    <row r="7" spans="3:16" ht="18" customHeight="1">
      <c r="C7" s="67"/>
      <c r="D7" s="68" t="s">
        <v>18</v>
      </c>
      <c r="E7" s="69" t="s">
        <v>37</v>
      </c>
      <c r="F7" s="80">
        <v>85</v>
      </c>
      <c r="G7" s="67"/>
      <c r="H7" s="67"/>
      <c r="I7" s="67"/>
      <c r="J7" s="67"/>
      <c r="K7" s="67"/>
      <c r="L7" s="67" t="s">
        <v>17</v>
      </c>
      <c r="M7" s="67"/>
      <c r="N7" s="112">
        <v>41419</v>
      </c>
      <c r="O7" s="67"/>
      <c r="P7" s="67"/>
    </row>
    <row r="8" spans="3:16" ht="18" customHeight="1">
      <c r="C8" s="67"/>
      <c r="D8" s="68" t="s">
        <v>19</v>
      </c>
      <c r="E8" s="69" t="s">
        <v>20</v>
      </c>
      <c r="F8" s="67"/>
      <c r="G8" s="67"/>
      <c r="H8" s="67"/>
      <c r="I8" s="67"/>
      <c r="J8" s="67"/>
      <c r="K8" s="67"/>
      <c r="L8" s="67"/>
      <c r="M8" s="67"/>
      <c r="N8" s="116">
        <v>110000</v>
      </c>
      <c r="O8" s="67"/>
      <c r="P8" s="67"/>
    </row>
    <row r="9" spans="3:16" ht="14.25"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3:32" ht="24">
      <c r="C10" s="67"/>
      <c r="D10" s="67"/>
      <c r="E10" s="67"/>
      <c r="F10" s="52" t="s">
        <v>21</v>
      </c>
      <c r="G10" s="52" t="s">
        <v>22</v>
      </c>
      <c r="H10" s="53" t="s">
        <v>11</v>
      </c>
      <c r="I10" s="70" t="s">
        <v>23</v>
      </c>
      <c r="J10" s="70" t="s">
        <v>24</v>
      </c>
      <c r="K10" s="53" t="s">
        <v>38</v>
      </c>
      <c r="L10" s="53" t="s">
        <v>25</v>
      </c>
      <c r="M10" s="70" t="s">
        <v>26</v>
      </c>
      <c r="N10" s="53" t="s">
        <v>44</v>
      </c>
      <c r="O10" s="54" t="s">
        <v>27</v>
      </c>
      <c r="P10" s="71" t="s">
        <v>28</v>
      </c>
      <c r="Q10" s="118" t="s">
        <v>64</v>
      </c>
      <c r="U10" s="74" t="s">
        <v>30</v>
      </c>
      <c r="V10" s="74" t="s">
        <v>31</v>
      </c>
      <c r="W10" s="74" t="s">
        <v>32</v>
      </c>
      <c r="X10" s="74" t="s">
        <v>35</v>
      </c>
      <c r="Y10" s="74" t="s">
        <v>36</v>
      </c>
      <c r="Z10" s="74" t="str">
        <f>DAY(Start_Day)+2&amp;"日F"</f>
        <v>27日F</v>
      </c>
      <c r="AA10" s="74" t="str">
        <f>DAY(Start_Day)+3&amp;"日F"</f>
        <v>28日F</v>
      </c>
      <c r="AB10" s="74" t="str">
        <f>DAY(Start_Day)+4&amp;"日F"</f>
        <v>29日F</v>
      </c>
      <c r="AC10" s="78" t="s">
        <v>34</v>
      </c>
      <c r="AD10" s="81" t="s">
        <v>39</v>
      </c>
      <c r="AE10" s="82" t="s">
        <v>40</v>
      </c>
      <c r="AF10" s="83" t="s">
        <v>41</v>
      </c>
    </row>
    <row r="11" spans="3:35" ht="14.25">
      <c r="C11" s="94">
        <v>5955</v>
      </c>
      <c r="D11" s="95" t="s">
        <v>53</v>
      </c>
      <c r="E11" s="96" t="s">
        <v>54</v>
      </c>
      <c r="F11" s="55">
        <v>0.784</v>
      </c>
      <c r="G11" s="72">
        <v>103.8</v>
      </c>
      <c r="H11" s="56">
        <f>IF(OR(E11="",J11=""),"",RANK(L11,$L$11:$L$17,1))</f>
      </c>
      <c r="I11" s="113"/>
      <c r="J11" s="73"/>
      <c r="K11" s="73">
        <f>IF(OR(F11="",J11=""),"",10000*AD11+100*AE11+AF11)</f>
      </c>
      <c r="L11" s="57">
        <f>IF(OR(F11="",J11=""),"",AC11)</f>
      </c>
      <c r="M11" s="58"/>
      <c r="N11" s="58">
        <f>IF(OR(F11="",J11=""),"",L11*F11-G11*$F$7)</f>
      </c>
      <c r="O11" s="59" t="s">
        <v>12</v>
      </c>
      <c r="P11" s="60">
        <f>IF(OR(F11="",J11=""),"",RANK(N11,$N$11:$N$17,1))</f>
      </c>
      <c r="Q11" s="119">
        <v>671.4</v>
      </c>
      <c r="U11" s="76">
        <f>INT(J11/10000)</f>
        <v>0</v>
      </c>
      <c r="V11" s="76" t="str">
        <f>RIGHT(INT(J11/100),2)</f>
        <v>0</v>
      </c>
      <c r="W11" s="76">
        <f>RIGHT(J11,2)</f>
      </c>
      <c r="X11" s="77">
        <f>IF(DAY($N$7)=I11,U11*3600+V11*60+W11-$X$6,"")</f>
      </c>
      <c r="Y11" s="77">
        <f>IF($I11=DAY($N$7)+1,$U11*3600+$V11*60+$W11+$Y$6,"")</f>
      </c>
      <c r="Z11" s="77">
        <f>IF($I11=DAY($N$7)+2,$U11*3600+$V11*60+$W11+$Z$6,"")</f>
      </c>
      <c r="AA11" s="77">
        <f>IF($I11=DAY($N$7)+3,$U11*3600+$V11*60+$W11+$AA$6,"")</f>
      </c>
      <c r="AB11" s="77">
        <f>IF($I11=DAY($N$7)+4,$U11*3600+$V11*60+$W11+$AB$6,"")</f>
      </c>
      <c r="AC11" s="77">
        <f>SUM(X11:AB11)</f>
        <v>0</v>
      </c>
      <c r="AD11" s="91">
        <f>INT(AC11/3600)</f>
        <v>0</v>
      </c>
      <c r="AE11" s="92">
        <f>INT((AC11-AD11*3600)/60)</f>
        <v>0</v>
      </c>
      <c r="AF11" s="93">
        <f>AC11-AD11*3600-AE11*60</f>
        <v>0</v>
      </c>
      <c r="AI11" s="90"/>
    </row>
    <row r="12" spans="3:32" ht="14.25">
      <c r="C12" s="94">
        <v>4591</v>
      </c>
      <c r="D12" s="95" t="s">
        <v>51</v>
      </c>
      <c r="E12" s="96" t="s">
        <v>52</v>
      </c>
      <c r="F12" s="55">
        <v>0.916</v>
      </c>
      <c r="G12" s="72">
        <v>110</v>
      </c>
      <c r="H12" s="56">
        <f>IF(OR(E12="",J12=""),"",RANK(L12,$L$11:$L$17,1))</f>
      </c>
      <c r="I12" s="113"/>
      <c r="J12" s="73"/>
      <c r="K12" s="73">
        <f>IF(OR(F12="",J12=""),"",10000*AD12+100*AE12+AF12)</f>
      </c>
      <c r="L12" s="57">
        <f>IF(OR(F12="",J12=""),"",AC12)</f>
      </c>
      <c r="M12" s="58"/>
      <c r="N12" s="58">
        <f>IF(OR(F12="",J12=""),"",L12*F12-G12*$F$7)</f>
      </c>
      <c r="O12" s="59" t="s">
        <v>12</v>
      </c>
      <c r="P12" s="60">
        <f>IF(OR(F12="",J12=""),"",RANK(N12,$N$11:$N$17,1))</f>
      </c>
      <c r="Q12" s="119">
        <v>586.1</v>
      </c>
      <c r="U12" s="76">
        <f>INT(J12/10000)</f>
        <v>0</v>
      </c>
      <c r="V12" s="76" t="str">
        <f>RIGHT(INT(J12/100),2)</f>
        <v>0</v>
      </c>
      <c r="W12" s="76">
        <f>RIGHT(J12,2)</f>
      </c>
      <c r="X12" s="77">
        <f>IF(DAY($N$7)=I12,U12*3600+V12*60+W12-$X$6,"")</f>
      </c>
      <c r="Y12" s="77">
        <f>IF($I12=DAY($N$7)+1,$U12*3600+$V12*60+$W12+$Y$6,"")</f>
      </c>
      <c r="Z12" s="77">
        <f>IF($I12=DAY($N$7)+2,$U12*3600+$V12*60+$W12+$Z$6,"")</f>
      </c>
      <c r="AA12" s="77">
        <f>IF($I12=DAY($N$7)+3,$U12*3600+$V12*60+$W12+$AA$6,"")</f>
      </c>
      <c r="AB12" s="77">
        <f>IF($I12=DAY($N$7)+4,$U12*3600+$V12*60+$W12+$AB$6,"")</f>
      </c>
      <c r="AC12" s="77">
        <f aca="true" t="shared" si="0" ref="AC12:AC17">SUM(X12:AB12)</f>
        <v>0</v>
      </c>
      <c r="AD12" s="84">
        <f aca="true" t="shared" si="1" ref="AD12:AD17">INT(AC12/3600)</f>
        <v>0</v>
      </c>
      <c r="AE12" s="85">
        <f aca="true" t="shared" si="2" ref="AE12:AE17">INT((AC12-AD12*3600)/60)</f>
        <v>0</v>
      </c>
      <c r="AF12" s="86">
        <f aca="true" t="shared" si="3" ref="AF12:AF17">AC12-AD12*3600-AE12*60</f>
        <v>0</v>
      </c>
    </row>
    <row r="13" spans="3:32" ht="14.25">
      <c r="C13" s="94">
        <v>5657</v>
      </c>
      <c r="D13" s="95" t="s">
        <v>49</v>
      </c>
      <c r="E13" s="96" t="s">
        <v>50</v>
      </c>
      <c r="F13" s="55">
        <v>0.897</v>
      </c>
      <c r="G13" s="72">
        <v>149.4</v>
      </c>
      <c r="H13" s="56">
        <f>IF(OR(E13="",J13=""),"",RANK(L13,$L$11:$L$17,1))</f>
      </c>
      <c r="I13" s="113"/>
      <c r="J13" s="73"/>
      <c r="K13" s="73">
        <f>IF(OR(F13="",J13=""),"",10000*AD13+100*AE13+AF13)</f>
      </c>
      <c r="L13" s="57">
        <f>IF(OR(F13="",J13=""),"",AC13)</f>
      </c>
      <c r="M13" s="58"/>
      <c r="N13" s="58">
        <f>IF(OR(F13="",J13=""),"",L13*F13-G13*$F$7)</f>
      </c>
      <c r="O13" s="59" t="s">
        <v>12</v>
      </c>
      <c r="P13" s="60">
        <f>IF(OR(F13="",J13=""),"",RANK(N13,$N$11:$N$17,1))</f>
      </c>
      <c r="Q13" s="119">
        <v>638</v>
      </c>
      <c r="U13" s="76">
        <f>INT(J13/10000)</f>
        <v>0</v>
      </c>
      <c r="V13" s="76" t="str">
        <f>RIGHT(INT(J13/100),2)</f>
        <v>0</v>
      </c>
      <c r="W13" s="76">
        <f>RIGHT(J13,2)</f>
      </c>
      <c r="X13" s="77">
        <f>IF(DAY($N$7)=I13,U13*3600+V13*60+W13-$X$6,"")</f>
      </c>
      <c r="Y13" s="77">
        <f>IF($I13=DAY($N$7)+1,$U13*3600+$V13*60+$W13+$Y$6,"")</f>
      </c>
      <c r="Z13" s="77">
        <f>IF($I13=DAY($N$7)+2,$U13*3600+$V13*60+$W13+$Z$6,"")</f>
      </c>
      <c r="AA13" s="77">
        <f>IF($I13=DAY($N$7)+3,$U13*3600+$V13*60+$W13+$AA$6,"")</f>
      </c>
      <c r="AB13" s="77">
        <f>IF($I13=DAY($N$7)+4,$U13*3600+$V13*60+$W13+$AB$6,"")</f>
      </c>
      <c r="AC13" s="77">
        <f t="shared" si="0"/>
        <v>0</v>
      </c>
      <c r="AD13" s="84">
        <f t="shared" si="1"/>
        <v>0</v>
      </c>
      <c r="AE13" s="85">
        <f t="shared" si="2"/>
        <v>0</v>
      </c>
      <c r="AF13" s="86">
        <f t="shared" si="3"/>
        <v>0</v>
      </c>
    </row>
    <row r="14" spans="3:32" ht="14.25">
      <c r="C14" s="94">
        <v>6404</v>
      </c>
      <c r="D14" s="97" t="s">
        <v>57</v>
      </c>
      <c r="E14" s="98" t="s">
        <v>55</v>
      </c>
      <c r="F14" s="55">
        <v>0.893</v>
      </c>
      <c r="G14" s="72">
        <v>129.9</v>
      </c>
      <c r="H14" s="56">
        <f>IF(OR(E14="",J14=""),"",RANK(L14,$L$11:$L$17,1))</f>
      </c>
      <c r="I14" s="113"/>
      <c r="J14" s="73"/>
      <c r="K14" s="73">
        <f>IF(OR(F14="",J14=""),"",10000*AD14+100*AE14+AF14)</f>
      </c>
      <c r="L14" s="57">
        <f>IF(OR(F14="",J14=""),"",AC14)</f>
      </c>
      <c r="M14" s="58"/>
      <c r="N14" s="58">
        <f>IF(OR(F14="",J14=""),"",L14*F14-G14*$F$7)</f>
      </c>
      <c r="O14" s="59" t="s">
        <v>12</v>
      </c>
      <c r="P14" s="60">
        <f>IF(OR(F14="",J14=""),"",RANK(N14,$N$11:$N$17,1))</f>
      </c>
      <c r="Q14" s="119">
        <v>619.3</v>
      </c>
      <c r="U14" s="76">
        <f>INT(J14/10000)</f>
        <v>0</v>
      </c>
      <c r="V14" s="76" t="str">
        <f>RIGHT(INT(J14/100),2)</f>
        <v>0</v>
      </c>
      <c r="W14" s="76">
        <f>RIGHT(J14,2)</f>
      </c>
      <c r="X14" s="77">
        <f>IF(DAY($N$7)=I14,U14*3600+V14*60+W14-$X$6,"")</f>
      </c>
      <c r="Y14" s="77">
        <f>IF($I14=DAY($N$7)+1,$U14*3600+$V14*60+$W14+$Y$6,"")</f>
      </c>
      <c r="Z14" s="77">
        <f>IF($I14=DAY($N$7)+2,$U14*3600+$V14*60+$W14+$Z$6,"")</f>
      </c>
      <c r="AA14" s="77">
        <f>IF($I14=DAY($N$7)+3,$U14*3600+$V14*60+$W14+$AA$6,"")</f>
      </c>
      <c r="AB14" s="77">
        <f>IF($I14=DAY($N$7)+4,$U14*3600+$V14*60+$W14+$AB$6,"")</f>
      </c>
      <c r="AC14" s="77">
        <f t="shared" si="0"/>
        <v>0</v>
      </c>
      <c r="AD14" s="84">
        <f t="shared" si="1"/>
        <v>0</v>
      </c>
      <c r="AE14" s="85">
        <f t="shared" si="2"/>
        <v>0</v>
      </c>
      <c r="AF14" s="86">
        <f t="shared" si="3"/>
        <v>0</v>
      </c>
    </row>
    <row r="15" spans="3:32" ht="14.25">
      <c r="C15" s="94">
        <v>4252</v>
      </c>
      <c r="D15" s="95" t="s">
        <v>58</v>
      </c>
      <c r="E15" s="96" t="s">
        <v>59</v>
      </c>
      <c r="F15" s="55">
        <v>0.918</v>
      </c>
      <c r="G15" s="72">
        <v>131.5</v>
      </c>
      <c r="H15" s="56">
        <f>IF(OR(E15="",J15=""),"",RANK(L15,$L$11:$L$17,1))</f>
      </c>
      <c r="I15" s="113"/>
      <c r="J15" s="73"/>
      <c r="K15" s="73">
        <f>IF(OR(F15="",J15=""),"",10000*AD15+100*AE15+AF15)</f>
      </c>
      <c r="L15" s="57">
        <f>IF(OR(F15="",J15=""),"",AC15)</f>
      </c>
      <c r="M15" s="58"/>
      <c r="N15" s="58">
        <f>IF(OR(F15="",J15=""),"",L15*F15-G15*$F$7)</f>
      </c>
      <c r="O15" s="59" t="s">
        <v>12</v>
      </c>
      <c r="P15" s="60">
        <f>IF(OR(F15="",J15=""),"",RANK(N15,$N$11:$N$17,1))</f>
      </c>
      <c r="Q15" s="119">
        <v>604.2</v>
      </c>
      <c r="U15" s="76">
        <f>INT(J15/10000)</f>
        <v>0</v>
      </c>
      <c r="V15" s="76" t="str">
        <f>RIGHT(INT(J15/100),2)</f>
        <v>0</v>
      </c>
      <c r="W15" s="76">
        <f>RIGHT(J15,2)</f>
      </c>
      <c r="X15" s="77">
        <f>IF(DAY($N$7)=I15,U15*3600+V15*60+W15-$X$6,"")</f>
      </c>
      <c r="Y15" s="77">
        <f>IF($I15=DAY($N$7)+1,$U15*3600+$V15*60+$W15+$Y$6,"")</f>
      </c>
      <c r="Z15" s="77">
        <f>IF($I15=DAY($N$7)+2,$U15*3600+$V15*60+$W15+$Z$6,"")</f>
      </c>
      <c r="AA15" s="77">
        <f>IF($I15=DAY($N$7)+3,$U15*3600+$V15*60+$W15+$AA$6,"")</f>
      </c>
      <c r="AB15" s="77">
        <f>IF($I15=DAY($N$7)+4,$U15*3600+$V15*60+$W15+$AB$6,"")</f>
      </c>
      <c r="AC15" s="77">
        <f t="shared" si="0"/>
        <v>0</v>
      </c>
      <c r="AD15" s="84">
        <f t="shared" si="1"/>
        <v>0</v>
      </c>
      <c r="AE15" s="85">
        <f t="shared" si="2"/>
        <v>0</v>
      </c>
      <c r="AF15" s="86">
        <f t="shared" si="3"/>
        <v>0</v>
      </c>
    </row>
    <row r="16" spans="3:32" ht="14.25">
      <c r="C16" s="94">
        <v>5640</v>
      </c>
      <c r="D16" s="95" t="s">
        <v>13</v>
      </c>
      <c r="E16" s="96" t="s">
        <v>56</v>
      </c>
      <c r="F16" s="55">
        <v>0.909</v>
      </c>
      <c r="G16" s="72">
        <v>120.1</v>
      </c>
      <c r="H16" s="56">
        <f>IF(OR(E16="",J16=""),"",RANK(L16,$L$11:$L$17,1))</f>
      </c>
      <c r="I16" s="113"/>
      <c r="J16" s="73"/>
      <c r="K16" s="73">
        <f>IF(OR(F16="",J16=""),"",10000*AD16+100*AE16+AF16)</f>
      </c>
      <c r="L16" s="57">
        <f>IF(OR(F16="",J16=""),"",AC16)</f>
      </c>
      <c r="M16" s="58"/>
      <c r="N16" s="58">
        <f>IF(OR(F16="",J16=""),"",L16*F16-G16*$F$7)</f>
      </c>
      <c r="O16" s="59" t="s">
        <v>12</v>
      </c>
      <c r="P16" s="60">
        <f>IF(OR(F16="",J16=""),"",RANK(N16,$N$11:$N$17,1))</f>
      </c>
      <c r="Q16" s="119">
        <v>599.7</v>
      </c>
      <c r="U16" s="76">
        <f>INT(J16/10000)</f>
        <v>0</v>
      </c>
      <c r="V16" s="76" t="str">
        <f>RIGHT(INT(J16/100),2)</f>
        <v>0</v>
      </c>
      <c r="W16" s="76">
        <f>RIGHT(J16,2)</f>
      </c>
      <c r="X16" s="77">
        <f>IF(DAY($N$7)=I16,U16*3600+V16*60+W16-$X$6,"")</f>
      </c>
      <c r="Y16" s="77">
        <f>IF($I16=DAY($N$7)+1,$U16*3600+$V16*60+$W16+$Y$6,"")</f>
      </c>
      <c r="Z16" s="77">
        <f>IF($I16=DAY($N$7)+2,$U16*3600+$V16*60+$W16+$Z$6,"")</f>
      </c>
      <c r="AA16" s="77">
        <f>IF($I16=DAY($N$7)+3,$U16*3600+$V16*60+$W16+$AA$6,"")</f>
      </c>
      <c r="AB16" s="77">
        <f>IF($I16=DAY($N$7)+4,$U16*3600+$V16*60+$W16+$AB$6,"")</f>
      </c>
      <c r="AC16" s="77">
        <f t="shared" si="0"/>
        <v>0</v>
      </c>
      <c r="AD16" s="84">
        <f t="shared" si="1"/>
        <v>0</v>
      </c>
      <c r="AE16" s="85">
        <f t="shared" si="2"/>
        <v>0</v>
      </c>
      <c r="AF16" s="86">
        <f t="shared" si="3"/>
        <v>0</v>
      </c>
    </row>
    <row r="17" spans="3:32" ht="14.25">
      <c r="C17" s="94">
        <v>5544</v>
      </c>
      <c r="D17" s="95" t="s">
        <v>48</v>
      </c>
      <c r="E17" s="96" t="s">
        <v>56</v>
      </c>
      <c r="F17" s="55">
        <v>0.911</v>
      </c>
      <c r="G17" s="72">
        <v>121.6</v>
      </c>
      <c r="H17" s="56">
        <f>IF(OR(E17="",J17=""),"",RANK(L17,$L$11:$L$17,1))</f>
      </c>
      <c r="I17" s="113"/>
      <c r="J17" s="73"/>
      <c r="K17" s="73">
        <f>IF(OR(F17="",J17=""),"",10000*AD17+100*AE17+AF17)</f>
      </c>
      <c r="L17" s="57">
        <f>IF(OR(F17="",J17=""),"",AC17)</f>
      </c>
      <c r="M17" s="58"/>
      <c r="N17" s="58">
        <f>IF(OR(F17="",J17=""),"",L17*F17-G17*$F$7)</f>
      </c>
      <c r="O17" s="59" t="s">
        <v>12</v>
      </c>
      <c r="P17" s="60">
        <f>IF(OR(F17="",J17=""),"",RANK(N17,$N$11:$N$17,1))</f>
      </c>
      <c r="Q17" s="119">
        <v>599.5</v>
      </c>
      <c r="U17" s="76">
        <f>INT(J17/10000)</f>
        <v>0</v>
      </c>
      <c r="V17" s="76" t="str">
        <f>RIGHT(INT(J17/100),2)</f>
        <v>0</v>
      </c>
      <c r="W17" s="76">
        <f>RIGHT(J17,2)</f>
      </c>
      <c r="X17" s="77">
        <f>IF(DAY($N$7)=I17,U17*3600+V17*60+W17-$X$6,"")</f>
      </c>
      <c r="Y17" s="77">
        <f>IF($I17=DAY($N$7)+1,$U17*3600+$V17*60+$W17+$Y$6,"")</f>
      </c>
      <c r="Z17" s="77">
        <f>IF($I17=DAY($N$7)+2,$U17*3600+$V17*60+$W17+$Z$6,"")</f>
      </c>
      <c r="AA17" s="77">
        <f>IF($I17=DAY($N$7)+3,$U17*3600+$V17*60+$W17+$AA$6,"")</f>
      </c>
      <c r="AB17" s="77">
        <f>IF($I17=DAY($N$7)+4,$U17*3600+$V17*60+$W17+$AB$6,"")</f>
      </c>
      <c r="AC17" s="77">
        <f t="shared" si="0"/>
        <v>0</v>
      </c>
      <c r="AD17" s="87">
        <f t="shared" si="1"/>
        <v>0</v>
      </c>
      <c r="AE17" s="88">
        <f t="shared" si="2"/>
        <v>0</v>
      </c>
      <c r="AF17" s="89">
        <f t="shared" si="3"/>
        <v>0</v>
      </c>
    </row>
    <row r="18" spans="14:16" ht="13.5">
      <c r="N18" s="105" t="s">
        <v>47</v>
      </c>
      <c r="P18" s="104"/>
    </row>
    <row r="22" spans="13:16" ht="13.5">
      <c r="M22" s="99"/>
      <c r="N22" s="99"/>
      <c r="O22" s="99"/>
      <c r="P22" s="102" t="s">
        <v>62</v>
      </c>
    </row>
    <row r="23" spans="12:16" ht="13.5">
      <c r="L23" s="101" t="s">
        <v>45</v>
      </c>
      <c r="M23" s="100"/>
      <c r="N23" s="100"/>
      <c r="O23" s="100"/>
      <c r="P23" s="103" t="s">
        <v>46</v>
      </c>
    </row>
    <row r="24" spans="12:16" ht="13.5">
      <c r="L24" s="100"/>
      <c r="M24" s="100"/>
      <c r="N24" s="100"/>
      <c r="O24" s="100"/>
      <c r="P24" s="100"/>
    </row>
    <row r="25" spans="12:16" ht="13.5">
      <c r="L25" s="100"/>
      <c r="M25" s="100"/>
      <c r="N25" s="100"/>
      <c r="O25" s="100"/>
      <c r="P25" s="100"/>
    </row>
  </sheetData>
  <sheetProtection/>
  <printOptions/>
  <pageMargins left="0.4330708661417323" right="0.3937007874015748" top="0.984251968503937" bottom="0.984251968503937" header="0.5118110236220472" footer="0.5118110236220472"/>
  <pageSetup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横山一郎</dc:creator>
  <cp:keywords/>
  <dc:description/>
  <cp:lastModifiedBy>Owner.Umino</cp:lastModifiedBy>
  <cp:lastPrinted>2013-05-22T08:49:23Z</cp:lastPrinted>
  <dcterms:created xsi:type="dcterms:W3CDTF">2009-04-21T06:10:19Z</dcterms:created>
  <dcterms:modified xsi:type="dcterms:W3CDTF">2013-05-22T13:56:52Z</dcterms:modified>
  <cp:category/>
  <cp:version/>
  <cp:contentType/>
  <cp:contentStatus/>
</cp:coreProperties>
</file>